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nergiaee-my.sharepoint.com/personal/diana_enkeli_enefit_com/Documents/Desktop/"/>
    </mc:Choice>
  </mc:AlternateContent>
  <xr:revisionPtr revIDLastSave="98" documentId="8_{AECF8B67-86E8-46AF-88DC-9F2FB7F17E92}" xr6:coauthVersionLast="47" xr6:coauthVersionMax="47" xr10:uidLastSave="{A18CD4B7-B171-4335-BC5A-4F8EE6DCE09A}"/>
  <bookViews>
    <workbookView xWindow="28680" yWindow="-120" windowWidth="38640" windowHeight="21120" xr2:uid="{86AEACFE-1D59-4AE1-A2F3-2EB296C2F196}"/>
  </bookViews>
  <sheets>
    <sheet name="PRK" sheetId="3" r:id="rId1"/>
    <sheet name="Laadimine (põlevkiviõli) 107 §4" sheetId="4" r:id="rId2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1" i="3" l="1"/>
  <c r="H30" i="3"/>
  <c r="C23" i="3" l="1"/>
  <c r="H29" i="3"/>
  <c r="I5" i="4" l="1"/>
  <c r="I6" i="4"/>
  <c r="D10" i="4" s="1"/>
  <c r="C10" i="4"/>
  <c r="C21" i="4" l="1"/>
  <c r="H11" i="4"/>
  <c r="E10" i="4" s="1"/>
  <c r="D21" i="4" l="1"/>
  <c r="H23" i="3" l="1"/>
  <c r="E8" i="3" l="1"/>
  <c r="I26" i="3" l="1"/>
  <c r="J26" i="3" s="1"/>
  <c r="G13" i="3" l="1"/>
  <c r="H26" i="3"/>
  <c r="B19" i="3"/>
  <c r="I31" i="3" l="1"/>
  <c r="I30" i="3"/>
  <c r="I23" i="3"/>
  <c r="J30" i="3"/>
  <c r="J31" i="3"/>
  <c r="I44" i="3"/>
  <c r="J44" i="3" s="1"/>
  <c r="I50" i="3"/>
  <c r="I27" i="3"/>
  <c r="J27" i="3" s="1"/>
  <c r="I45" i="3"/>
  <c r="J45" i="3" s="1"/>
  <c r="I43" i="3"/>
  <c r="J43" i="3" s="1"/>
  <c r="I35" i="3"/>
  <c r="J35" i="3" s="1"/>
  <c r="I28" i="3"/>
  <c r="J28" i="3" s="1"/>
  <c r="I46" i="3"/>
  <c r="J46" i="3" s="1"/>
  <c r="I29" i="3"/>
  <c r="J29" i="3" s="1"/>
  <c r="I36" i="3"/>
  <c r="J36" i="3" s="1"/>
  <c r="I47" i="3"/>
  <c r="J47" i="3" s="1"/>
  <c r="I38" i="3"/>
  <c r="J38" i="3" s="1"/>
  <c r="I39" i="3"/>
  <c r="J39" i="3" s="1"/>
  <c r="I37" i="3"/>
  <c r="J37" i="3" s="1"/>
  <c r="I40" i="3"/>
  <c r="J40" i="3" s="1"/>
  <c r="I33" i="3"/>
  <c r="J33" i="3" s="1"/>
  <c r="I41" i="3"/>
  <c r="J41" i="3" s="1"/>
  <c r="I34" i="3"/>
  <c r="J34" i="3" s="1"/>
  <c r="J23" i="3" l="1"/>
  <c r="C6" i="3"/>
  <c r="C11" i="3"/>
  <c r="C12" i="3" s="1"/>
  <c r="C13" i="3" s="1"/>
  <c r="F24" i="3"/>
  <c r="B24" i="3" s="1"/>
  <c r="F25" i="3"/>
  <c r="B25" i="3" s="1"/>
  <c r="H27" i="3"/>
  <c r="H33" i="3"/>
  <c r="H34" i="3"/>
  <c r="H35" i="3"/>
  <c r="H36" i="3"/>
  <c r="H37" i="3"/>
  <c r="H38" i="3"/>
  <c r="H39" i="3"/>
  <c r="H40" i="3"/>
  <c r="H41" i="3"/>
  <c r="H43" i="3"/>
  <c r="H44" i="3"/>
  <c r="H45" i="3"/>
  <c r="H46" i="3"/>
  <c r="H47" i="3"/>
  <c r="I25" i="3" l="1"/>
  <c r="I24" i="3"/>
  <c r="H24" i="3"/>
  <c r="J24" i="3"/>
  <c r="H28" i="3"/>
  <c r="H25" i="3"/>
  <c r="J25" i="3" l="1"/>
</calcChain>
</file>

<file path=xl/sharedStrings.xml><?xml version="1.0" encoding="utf-8"?>
<sst xmlns="http://schemas.openxmlformats.org/spreadsheetml/2006/main" count="115" uniqueCount="105">
  <si>
    <t>kg/a</t>
  </si>
  <si>
    <t>g/s</t>
  </si>
  <si>
    <t>t/a</t>
  </si>
  <si>
    <t>m3/s</t>
  </si>
  <si>
    <t>Laadimine</t>
  </si>
  <si>
    <t>Põlevkiviõli</t>
  </si>
  <si>
    <t>m</t>
  </si>
  <si>
    <t>m3</t>
  </si>
  <si>
    <t>K</t>
  </si>
  <si>
    <t>Temperatuur</t>
  </si>
  <si>
    <t>m/s</t>
  </si>
  <si>
    <t>tC/TJ</t>
  </si>
  <si>
    <t>CO2</t>
  </si>
  <si>
    <t>Indeo(1,2,3-cd)püreen</t>
  </si>
  <si>
    <t>Benso(k)fluoranteen</t>
  </si>
  <si>
    <t>Benso(b)fluoranteen</t>
  </si>
  <si>
    <t>Benso/(a)püreen</t>
  </si>
  <si>
    <t>PCDD/F</t>
  </si>
  <si>
    <t>µg/GJ</t>
  </si>
  <si>
    <t>Zn</t>
  </si>
  <si>
    <t>Se</t>
  </si>
  <si>
    <t>Ni</t>
  </si>
  <si>
    <t>Cu</t>
  </si>
  <si>
    <t>Cr</t>
  </si>
  <si>
    <t>As</t>
  </si>
  <si>
    <t>Hg</t>
  </si>
  <si>
    <t>Cd</t>
  </si>
  <si>
    <t>Pb</t>
  </si>
  <si>
    <t>EMEP 3-6</t>
  </si>
  <si>
    <t>mg/GJ</t>
  </si>
  <si>
    <t>NMVOC</t>
  </si>
  <si>
    <t>CO</t>
  </si>
  <si>
    <t>NOx</t>
  </si>
  <si>
    <t>Sr</t>
  </si>
  <si>
    <t>SO2</t>
  </si>
  <si>
    <t>PM2,5</t>
  </si>
  <si>
    <t>PM10</t>
  </si>
  <si>
    <t>PM-sum</t>
  </si>
  <si>
    <t>S järgi</t>
  </si>
  <si>
    <t>osakaal</t>
  </si>
  <si>
    <t>g/GJ</t>
  </si>
  <si>
    <t>mg/Nm3</t>
  </si>
  <si>
    <t>w(m/s)=4*V(m3/s)/Pi/(D*D)</t>
  </si>
  <si>
    <t>Kiirus</t>
  </si>
  <si>
    <t>Mahtkiirus</t>
  </si>
  <si>
    <t>0,25 – kütuse kuivaine stöhhiomeetrilisel põlemisel tekkiv ligikaudne kogus kuivi suitsugaase energiaühiku kohta, Nm3/MJ;</t>
  </si>
  <si>
    <t>Nm3/s</t>
  </si>
  <si>
    <t>Suitsugaasid (kuivad, 6% O2)</t>
  </si>
  <si>
    <t>C</t>
  </si>
  <si>
    <t>Liigõhutegur</t>
  </si>
  <si>
    <r>
      <t>α = CO</t>
    </r>
    <r>
      <rPr>
        <vertAlign val="subscript"/>
        <sz val="11"/>
        <color rgb="FF202020"/>
        <rFont val="Arial"/>
        <family val="2"/>
        <charset val="186"/>
      </rPr>
      <t>2</t>
    </r>
    <r>
      <rPr>
        <vertAlign val="superscript"/>
        <sz val="11"/>
        <color rgb="FF202020"/>
        <rFont val="Arial"/>
        <family val="2"/>
        <charset val="186"/>
      </rPr>
      <t>max</t>
    </r>
    <r>
      <rPr>
        <sz val="11"/>
        <color rgb="FF202020"/>
        <rFont val="Arial"/>
        <family val="2"/>
        <charset val="186"/>
      </rPr>
      <t> / CO</t>
    </r>
    <r>
      <rPr>
        <vertAlign val="subscript"/>
        <sz val="11"/>
        <color rgb="FF202020"/>
        <rFont val="Arial"/>
        <family val="2"/>
        <charset val="186"/>
      </rPr>
      <t>2</t>
    </r>
    <r>
      <rPr>
        <sz val="11"/>
        <color rgb="FF202020"/>
        <rFont val="Arial"/>
        <family val="2"/>
        <charset val="186"/>
      </rPr>
      <t> ≈ 20,9 / (20,9 – O</t>
    </r>
    <r>
      <rPr>
        <vertAlign val="subscript"/>
        <sz val="11"/>
        <color rgb="FF202020"/>
        <rFont val="Arial"/>
        <family val="2"/>
        <charset val="186"/>
      </rPr>
      <t>2</t>
    </r>
    <r>
      <rPr>
        <sz val="11"/>
        <color rgb="FF202020"/>
        <rFont val="Arial"/>
        <family val="2"/>
        <charset val="186"/>
      </rPr>
      <t>); joonkiiruse leidmiseks võetud tegelikul režiimil</t>
    </r>
  </si>
  <si>
    <t>piirväärtustest lähtuvates arvutustes</t>
  </si>
  <si>
    <t>α</t>
  </si>
  <si>
    <t>%</t>
  </si>
  <si>
    <t>O2</t>
  </si>
  <si>
    <t>S.g. niiskus</t>
  </si>
  <si>
    <t>GJ/s</t>
  </si>
  <si>
    <t>Võimsus sisse</t>
  </si>
  <si>
    <t>MW</t>
  </si>
  <si>
    <t>MJ/kg</t>
  </si>
  <si>
    <t>põlevkiviõli</t>
  </si>
  <si>
    <t>Kütus:</t>
  </si>
  <si>
    <t>Diameeter</t>
  </si>
  <si>
    <t>% Sr</t>
  </si>
  <si>
    <t>Kõrgus</t>
  </si>
  <si>
    <t xml:space="preserve">Saasteallikas </t>
  </si>
  <si>
    <t>701k</t>
  </si>
  <si>
    <t>Eriheited</t>
  </si>
  <si>
    <t>EMEP Table 3-11</t>
  </si>
  <si>
    <t>Lubatud maksimaalsed kontsentratsioonid väljuvas gaasis</t>
  </si>
  <si>
    <t>määruse nr  59 järgi</t>
  </si>
  <si>
    <t>Maksimaalsed heitkogused aastas</t>
  </si>
  <si>
    <r>
      <t>  B</t>
    </r>
    <r>
      <rPr>
        <vertAlign val="subscript"/>
        <sz val="11"/>
        <color rgb="FF202020"/>
        <rFont val="Arial"/>
        <family val="2"/>
        <charset val="186"/>
      </rPr>
      <t>1</t>
    </r>
    <r>
      <rPr>
        <sz val="11"/>
        <color rgb="FF202020"/>
        <rFont val="Arial"/>
        <family val="2"/>
        <charset val="186"/>
      </rPr>
      <t> = B × Q</t>
    </r>
    <r>
      <rPr>
        <vertAlign val="superscript"/>
        <sz val="11"/>
        <color rgb="FF202020"/>
        <rFont val="Arial"/>
        <family val="2"/>
        <charset val="186"/>
      </rPr>
      <t>r</t>
    </r>
    <r>
      <rPr>
        <vertAlign val="subscript"/>
        <sz val="11"/>
        <color rgb="FF202020"/>
        <rFont val="Arial"/>
        <family val="2"/>
        <charset val="186"/>
      </rPr>
      <t>i</t>
    </r>
    <r>
      <rPr>
        <sz val="11"/>
        <color rgb="FF202020"/>
        <rFont val="Arial"/>
        <family val="2"/>
        <charset val="186"/>
      </rPr>
      <t>, GJ, kus</t>
    </r>
  </si>
  <si>
    <t>B – kütusekulu vaadeldaval perioodil, t;</t>
  </si>
  <si>
    <r>
      <t>Q</t>
    </r>
    <r>
      <rPr>
        <vertAlign val="superscript"/>
        <sz val="11"/>
        <color rgb="FF202020"/>
        <rFont val="Arial"/>
        <family val="2"/>
        <charset val="186"/>
      </rPr>
      <t>r</t>
    </r>
    <r>
      <rPr>
        <vertAlign val="subscript"/>
        <sz val="11"/>
        <color rgb="FF202020"/>
        <rFont val="Arial"/>
        <family val="2"/>
        <charset val="186"/>
      </rPr>
      <t>i</t>
    </r>
    <r>
      <rPr>
        <sz val="11"/>
        <color rgb="FF202020"/>
        <rFont val="Arial"/>
        <family val="2"/>
        <charset val="186"/>
      </rPr>
      <t> – kütuse alumine kütteväärtus, MJ/kg;</t>
    </r>
  </si>
  <si>
    <t>B, kütuse kogus (t)</t>
  </si>
  <si>
    <r>
      <t>kütusekulu B</t>
    </r>
    <r>
      <rPr>
        <sz val="8"/>
        <color rgb="FF202020"/>
        <rFont val="Arial"/>
        <family val="2"/>
        <charset val="186"/>
      </rPr>
      <t>1</t>
    </r>
    <r>
      <rPr>
        <sz val="11"/>
        <color rgb="FF202020"/>
        <rFont val="Arial"/>
        <family val="2"/>
        <charset val="186"/>
      </rPr>
      <t xml:space="preserve"> arvutatakse ümber massiühikutest (t) soojusühikutesse (GJ), kasutades 59 määruse lisas 9 esitatud energiaühikute teisendustegureid ja vastava kütuseliigi alumist kütteväärtust Q</t>
    </r>
    <r>
      <rPr>
        <vertAlign val="superscript"/>
        <sz val="11"/>
        <color rgb="FF202020"/>
        <rFont val="Arial"/>
        <family val="2"/>
        <charset val="186"/>
      </rPr>
      <t>r</t>
    </r>
    <r>
      <rPr>
        <vertAlign val="subscript"/>
        <sz val="11"/>
        <color rgb="FF202020"/>
        <rFont val="Arial"/>
        <family val="2"/>
        <charset val="186"/>
      </rPr>
      <t>i</t>
    </r>
    <r>
      <rPr>
        <sz val="11"/>
        <color rgb="FF202020"/>
        <rFont val="Arial"/>
        <family val="2"/>
        <charset val="186"/>
      </rPr>
      <t>, kasutades järgmist valemit:</t>
    </r>
  </si>
  <si>
    <r>
      <t>B</t>
    </r>
    <r>
      <rPr>
        <sz val="8"/>
        <color theme="1"/>
        <rFont val="Calibri"/>
        <family val="2"/>
        <charset val="186"/>
        <scheme val="minor"/>
      </rPr>
      <t>1</t>
    </r>
    <r>
      <rPr>
        <sz val="11"/>
        <color theme="1"/>
        <rFont val="Calibri"/>
        <family val="2"/>
        <charset val="186"/>
        <scheme val="minor"/>
      </rPr>
      <t>,  GJ/a</t>
    </r>
  </si>
  <si>
    <t>Hetkeline heitkogus, g/s metallidel, mg/s</t>
  </si>
  <si>
    <t>mg/s</t>
  </si>
  <si>
    <t>Aastane heitkogus, t/a                metallidel, kg/a</t>
  </si>
  <si>
    <t xml:space="preserve">Reservkatlamaja koondheiteallikas: </t>
  </si>
  <si>
    <t>Taotletav kogus</t>
  </si>
  <si>
    <t>arvutatud mõõtmiste alusel</t>
  </si>
  <si>
    <t>Kogus on väiksem kui üks kilogramm</t>
  </si>
  <si>
    <t>Koefitsient=</t>
  </si>
  <si>
    <t>Aromaatsed</t>
  </si>
  <si>
    <t>Pumpamine, m3/h</t>
  </si>
  <si>
    <t>Laadimisaeg, h</t>
  </si>
  <si>
    <t>tihedus, t/m3</t>
  </si>
  <si>
    <t>kogus tonnides</t>
  </si>
  <si>
    <t>NMVOC g/s</t>
  </si>
  <si>
    <t>NMVOC t/a</t>
  </si>
  <si>
    <t>Wv</t>
  </si>
  <si>
    <t>Q=</t>
  </si>
  <si>
    <t>Tv=</t>
  </si>
  <si>
    <t>Lw=Q*Wv*(1-eff/100)</t>
  </si>
  <si>
    <t>Põlevkiviõli keskmine fraktsioon</t>
  </si>
  <si>
    <t>kPa</t>
  </si>
  <si>
    <t>P=</t>
  </si>
  <si>
    <t>g/mol</t>
  </si>
  <si>
    <t>M=</t>
  </si>
  <si>
    <t>Wv=(M*P/8.314*Tv)</t>
  </si>
  <si>
    <t>HCl</t>
  </si>
  <si>
    <t>HF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</si>
</sst>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6" formatCode="0.0000"/>
    <numFmt numFmtId="168" formatCode="0.000000"/>
    <numFmt numFmtId="169" formatCode="0.0"/>
    <numFmt numFmtId="170" formatCode="0.00000000000"/>
    <numFmt numFmtId="171" formatCode="0.00000000"/>
  </numFmts>
  <fonts count="14" x14ac:knownFonts="1">
    <font>
      <sz val="11"/>
      <color theme="1"/>
      <name val="Calibri"/>
      <family val="2"/>
      <charset val="186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  <charset val="186"/>
    </font>
    <font>
      <sz val="11"/>
      <color theme="1"/>
      <name val="Calibri"/>
      <family val="2"/>
    </font>
    <font>
      <sz val="11"/>
      <color rgb="FF202020"/>
      <name val="Arial"/>
      <family val="2"/>
      <charset val="186"/>
    </font>
    <font>
      <vertAlign val="subscript"/>
      <sz val="11"/>
      <color rgb="FF202020"/>
      <name val="Arial"/>
      <family val="2"/>
      <charset val="186"/>
    </font>
    <font>
      <vertAlign val="superscript"/>
      <sz val="11"/>
      <color rgb="FF202020"/>
      <name val="Arial"/>
      <family val="2"/>
      <charset val="186"/>
    </font>
    <font>
      <b/>
      <sz val="12"/>
      <color theme="1"/>
      <name val="Calibri"/>
      <family val="2"/>
      <charset val="186"/>
      <scheme val="minor"/>
    </font>
    <font>
      <b/>
      <sz val="12"/>
      <color theme="1"/>
      <name val="Calibri"/>
      <family val="2"/>
      <scheme val="minor"/>
    </font>
    <font>
      <sz val="8"/>
      <color rgb="FF202020"/>
      <name val="Arial"/>
      <family val="2"/>
      <charset val="186"/>
    </font>
    <font>
      <sz val="8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3" fillId="0" borderId="0"/>
  </cellStyleXfs>
  <cellXfs count="66">
    <xf numFmtId="0" fontId="0" fillId="0" borderId="0" xfId="0"/>
    <xf numFmtId="0" fontId="0" fillId="0" borderId="1" xfId="0" applyBorder="1"/>
    <xf numFmtId="164" fontId="0" fillId="0" borderId="1" xfId="0" applyNumberFormat="1" applyBorder="1"/>
    <xf numFmtId="164" fontId="0" fillId="0" borderId="0" xfId="0" applyNumberFormat="1"/>
    <xf numFmtId="0" fontId="2" fillId="0" borderId="0" xfId="0" applyFont="1"/>
    <xf numFmtId="0" fontId="3" fillId="0" borderId="1" xfId="1" applyBorder="1"/>
    <xf numFmtId="2" fontId="0" fillId="0" borderId="0" xfId="0" applyNumberFormat="1"/>
    <xf numFmtId="2" fontId="2" fillId="0" borderId="0" xfId="0" applyNumberFormat="1" applyFont="1"/>
    <xf numFmtId="0" fontId="5" fillId="0" borderId="0" xfId="0" applyFont="1"/>
    <xf numFmtId="169" fontId="0" fillId="0" borderId="0" xfId="0" applyNumberFormat="1"/>
    <xf numFmtId="0" fontId="2" fillId="0" borderId="1" xfId="0" applyFont="1" applyBorder="1"/>
    <xf numFmtId="0" fontId="0" fillId="0" borderId="1" xfId="0" applyBorder="1" applyAlignment="1">
      <alignment wrapText="1"/>
    </xf>
    <xf numFmtId="2" fontId="0" fillId="0" borderId="1" xfId="0" applyNumberFormat="1" applyBorder="1"/>
    <xf numFmtId="164" fontId="2" fillId="0" borderId="1" xfId="0" applyNumberFormat="1" applyFont="1" applyBorder="1"/>
    <xf numFmtId="166" fontId="0" fillId="0" borderId="1" xfId="0" applyNumberFormat="1" applyBorder="1"/>
    <xf numFmtId="168" fontId="0" fillId="0" borderId="1" xfId="0" applyNumberFormat="1" applyBorder="1"/>
    <xf numFmtId="0" fontId="4" fillId="0" borderId="1" xfId="0" applyFont="1" applyBorder="1"/>
    <xf numFmtId="170" fontId="0" fillId="0" borderId="1" xfId="0" applyNumberFormat="1" applyBorder="1"/>
    <xf numFmtId="171" fontId="0" fillId="0" borderId="1" xfId="0" applyNumberFormat="1" applyBorder="1"/>
    <xf numFmtId="0" fontId="0" fillId="4" borderId="1" xfId="0" applyFill="1" applyBorder="1"/>
    <xf numFmtId="0" fontId="8" fillId="0" borderId="0" xfId="0" applyFont="1"/>
    <xf numFmtId="0" fontId="9" fillId="0" borderId="0" xfId="0" applyFont="1"/>
    <xf numFmtId="166" fontId="0" fillId="4" borderId="1" xfId="0" applyNumberFormat="1" applyFill="1" applyBorder="1"/>
    <xf numFmtId="164" fontId="0" fillId="4" borderId="1" xfId="0" applyNumberFormat="1" applyFill="1" applyBorder="1"/>
    <xf numFmtId="0" fontId="5" fillId="0" borderId="0" xfId="0" applyFont="1" applyAlignment="1">
      <alignment horizontal="center" wrapText="1"/>
    </xf>
    <xf numFmtId="0" fontId="9" fillId="3" borderId="6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9" fillId="3" borderId="9" xfId="0" applyFont="1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12" fillId="0" borderId="1" xfId="0" applyFont="1" applyBorder="1"/>
    <xf numFmtId="164" fontId="0" fillId="4" borderId="1" xfId="0" applyNumberFormat="1" applyFont="1" applyFill="1" applyBorder="1"/>
    <xf numFmtId="164" fontId="12" fillId="0" borderId="1" xfId="0" applyNumberFormat="1" applyFont="1" applyBorder="1"/>
    <xf numFmtId="0" fontId="13" fillId="0" borderId="0" xfId="2"/>
    <xf numFmtId="0" fontId="13" fillId="5" borderId="0" xfId="2" applyFill="1"/>
    <xf numFmtId="164" fontId="13" fillId="0" borderId="1" xfId="2" applyNumberFormat="1" applyBorder="1"/>
    <xf numFmtId="166" fontId="13" fillId="0" borderId="1" xfId="2" applyNumberFormat="1" applyBorder="1"/>
    <xf numFmtId="0" fontId="2" fillId="5" borderId="1" xfId="2" applyFont="1" applyFill="1" applyBorder="1"/>
    <xf numFmtId="0" fontId="2" fillId="5" borderId="0" xfId="2" applyFont="1" applyFill="1"/>
    <xf numFmtId="0" fontId="13" fillId="0" borderId="0" xfId="2" applyAlignment="1">
      <alignment horizontal="right"/>
    </xf>
    <xf numFmtId="166" fontId="13" fillId="0" borderId="0" xfId="2" applyNumberFormat="1"/>
    <xf numFmtId="0" fontId="13" fillId="0" borderId="1" xfId="2" applyBorder="1"/>
    <xf numFmtId="2" fontId="13" fillId="0" borderId="0" xfId="2" applyNumberFormat="1"/>
    <xf numFmtId="164" fontId="13" fillId="0" borderId="1" xfId="2" applyNumberFormat="1" applyBorder="1" applyAlignment="1">
      <alignment horizontal="left"/>
    </xf>
    <xf numFmtId="0" fontId="13" fillId="2" borderId="0" xfId="2" applyFill="1"/>
    <xf numFmtId="0" fontId="13" fillId="6" borderId="0" xfId="2" applyFill="1"/>
    <xf numFmtId="2" fontId="13" fillId="6" borderId="0" xfId="2" applyNumberFormat="1" applyFill="1" applyAlignment="1">
      <alignment horizontal="right" vertical="center"/>
    </xf>
    <xf numFmtId="0" fontId="13" fillId="6" borderId="0" xfId="2" applyFill="1" applyAlignment="1">
      <alignment horizontal="right"/>
    </xf>
    <xf numFmtId="0" fontId="13" fillId="6" borderId="0" xfId="2" applyFill="1" applyAlignment="1">
      <alignment horizontal="right" vertical="center"/>
    </xf>
    <xf numFmtId="0" fontId="2" fillId="6" borderId="0" xfId="2" applyFont="1" applyFill="1"/>
    <xf numFmtId="0" fontId="2" fillId="0" borderId="0" xfId="2" applyFont="1"/>
    <xf numFmtId="0" fontId="0" fillId="4" borderId="1" xfId="0" applyFont="1" applyFill="1" applyBorder="1"/>
    <xf numFmtId="169" fontId="0" fillId="4" borderId="1" xfId="0" applyNumberFormat="1" applyFont="1" applyFill="1" applyBorder="1"/>
    <xf numFmtId="2" fontId="0" fillId="4" borderId="1" xfId="0" applyNumberFormat="1" applyFont="1" applyFill="1" applyBorder="1"/>
    <xf numFmtId="0" fontId="12" fillId="0" borderId="1" xfId="0" applyFont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13" fillId="3" borderId="8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13" fillId="3" borderId="1" xfId="0" applyFont="1" applyFill="1" applyBorder="1" applyAlignment="1">
      <alignment wrapText="1"/>
    </xf>
    <xf numFmtId="0" fontId="13" fillId="3" borderId="1" xfId="0" applyFont="1" applyFill="1" applyBorder="1"/>
    <xf numFmtId="0" fontId="13" fillId="3" borderId="7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</cellXfs>
  <cellStyles count="3">
    <cellStyle name="Normal" xfId="0" builtinId="0"/>
    <cellStyle name="Normal 2" xfId="1" xr:uid="{CC4C71FE-6F89-4A74-A20F-FA4C48F5FDFC}"/>
    <cellStyle name="Normal 3" xfId="2" xr:uid="{0C3CE2C8-A606-4FCB-8DF7-66051D166E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894F8-B6AE-4122-A7AE-915E33B43BBB}">
  <dimension ref="A2:J52"/>
  <sheetViews>
    <sheetView tabSelected="1" zoomScale="115" zoomScaleNormal="115" workbookViewId="0">
      <selection activeCell="O21" sqref="O21"/>
    </sheetView>
  </sheetViews>
  <sheetFormatPr defaultRowHeight="14.5" x14ac:dyDescent="0.35"/>
  <cols>
    <col min="1" max="1" width="26.7265625" bestFit="1" customWidth="1"/>
    <col min="2" max="2" width="12.54296875" customWidth="1"/>
    <col min="3" max="3" width="8.36328125" customWidth="1"/>
    <col min="4" max="4" width="10.26953125" customWidth="1"/>
    <col min="5" max="5" width="9" customWidth="1"/>
    <col min="8" max="8" width="16.1796875" customWidth="1"/>
    <col min="9" max="9" width="16.08984375" customWidth="1"/>
    <col min="10" max="10" width="20.453125" customWidth="1"/>
    <col min="11" max="11" width="14.54296875" customWidth="1"/>
    <col min="12" max="12" width="14.453125" customWidth="1"/>
    <col min="19" max="19" width="9.26953125" bestFit="1" customWidth="1"/>
    <col min="21" max="21" width="13.453125" bestFit="1" customWidth="1"/>
    <col min="22" max="22" width="10.26953125" bestFit="1" customWidth="1"/>
    <col min="25" max="25" width="17.54296875" customWidth="1"/>
    <col min="27" max="27" width="10.7265625" bestFit="1" customWidth="1"/>
  </cols>
  <sheetData>
    <row r="2" spans="1:9" x14ac:dyDescent="0.35">
      <c r="A2" t="s">
        <v>65</v>
      </c>
      <c r="B2" t="s">
        <v>81</v>
      </c>
      <c r="C2" s="4" t="s">
        <v>66</v>
      </c>
    </row>
    <row r="3" spans="1:9" x14ac:dyDescent="0.35">
      <c r="A3" s="5" t="s">
        <v>64</v>
      </c>
      <c r="B3" s="5" t="s">
        <v>6</v>
      </c>
      <c r="C3">
        <v>70</v>
      </c>
    </row>
    <row r="4" spans="1:9" x14ac:dyDescent="0.35">
      <c r="A4" s="5" t="s">
        <v>62</v>
      </c>
      <c r="B4" s="5" t="s">
        <v>6</v>
      </c>
      <c r="C4">
        <v>2.7</v>
      </c>
      <c r="F4" s="4"/>
    </row>
    <row r="5" spans="1:9" x14ac:dyDescent="0.35">
      <c r="A5" s="5" t="s">
        <v>57</v>
      </c>
      <c r="B5" s="5" t="s">
        <v>58</v>
      </c>
      <c r="C5">
        <v>250</v>
      </c>
    </row>
    <row r="6" spans="1:9" x14ac:dyDescent="0.35">
      <c r="A6" s="5" t="s">
        <v>57</v>
      </c>
      <c r="B6" s="5" t="s">
        <v>56</v>
      </c>
      <c r="C6">
        <f>C5/1000</f>
        <v>0.25</v>
      </c>
      <c r="H6" s="7"/>
      <c r="I6" s="4"/>
    </row>
    <row r="7" spans="1:9" x14ac:dyDescent="0.35">
      <c r="A7" s="5" t="s">
        <v>55</v>
      </c>
      <c r="B7" s="5" t="s">
        <v>53</v>
      </c>
      <c r="C7">
        <v>0</v>
      </c>
    </row>
    <row r="8" spans="1:9" x14ac:dyDescent="0.35">
      <c r="A8" s="5" t="s">
        <v>54</v>
      </c>
      <c r="B8" s="5" t="s">
        <v>53</v>
      </c>
      <c r="C8">
        <v>3</v>
      </c>
      <c r="D8" t="s">
        <v>52</v>
      </c>
      <c r="E8">
        <f>20.9/(20.9-3)</f>
        <v>1.1675977653631284</v>
      </c>
      <c r="F8" t="s">
        <v>51</v>
      </c>
    </row>
    <row r="9" spans="1:9" ht="17.5" x14ac:dyDescent="0.4">
      <c r="A9" s="5" t="s">
        <v>49</v>
      </c>
      <c r="B9" s="5"/>
      <c r="C9">
        <v>1.17</v>
      </c>
      <c r="D9" s="8" t="s">
        <v>50</v>
      </c>
    </row>
    <row r="10" spans="1:9" x14ac:dyDescent="0.35">
      <c r="A10" s="5" t="s">
        <v>9</v>
      </c>
      <c r="B10" s="5" t="s">
        <v>48</v>
      </c>
      <c r="C10">
        <v>152</v>
      </c>
    </row>
    <row r="11" spans="1:9" x14ac:dyDescent="0.35">
      <c r="A11" s="5" t="s">
        <v>47</v>
      </c>
      <c r="B11" s="5" t="s">
        <v>46</v>
      </c>
      <c r="C11">
        <f>C5*C9*0.25</f>
        <v>73.125</v>
      </c>
      <c r="D11" t="s">
        <v>45</v>
      </c>
    </row>
    <row r="12" spans="1:9" x14ac:dyDescent="0.35">
      <c r="A12" s="5" t="s">
        <v>44</v>
      </c>
      <c r="B12" s="5" t="s">
        <v>3</v>
      </c>
      <c r="C12">
        <f>C11*(273+C10)/273*(100+C7)/100</f>
        <v>113.83928571428571</v>
      </c>
    </row>
    <row r="13" spans="1:9" x14ac:dyDescent="0.35">
      <c r="A13" s="5" t="s">
        <v>43</v>
      </c>
      <c r="B13" s="5" t="s">
        <v>10</v>
      </c>
      <c r="C13" s="6">
        <f>C12*4/PI()/(C4*C4)</f>
        <v>19.882672196959291</v>
      </c>
      <c r="D13" t="s">
        <v>42</v>
      </c>
      <c r="G13">
        <f>4*(20/3600)/3.14/(0.1*0.1)</f>
        <v>0.70771408351026166</v>
      </c>
    </row>
    <row r="14" spans="1:9" x14ac:dyDescent="0.35">
      <c r="G14" s="3"/>
      <c r="I14" s="9"/>
    </row>
    <row r="15" spans="1:9" ht="15.5" x14ac:dyDescent="0.35">
      <c r="A15" s="21" t="s">
        <v>61</v>
      </c>
      <c r="B15" s="20" t="s">
        <v>60</v>
      </c>
    </row>
    <row r="16" spans="1:9" ht="58.9" customHeight="1" x14ac:dyDescent="0.35">
      <c r="A16" s="1" t="s">
        <v>63</v>
      </c>
      <c r="B16" s="1">
        <v>0.7</v>
      </c>
      <c r="D16" s="24" t="s">
        <v>76</v>
      </c>
      <c r="E16" s="24"/>
      <c r="F16" s="24"/>
      <c r="G16" s="24"/>
      <c r="H16" s="24"/>
    </row>
    <row r="17" spans="1:10" ht="31.9" customHeight="1" x14ac:dyDescent="0.35">
      <c r="A17" s="1" t="s">
        <v>59</v>
      </c>
      <c r="B17" s="31">
        <v>40.1</v>
      </c>
      <c r="D17" s="24" t="s">
        <v>72</v>
      </c>
      <c r="E17" s="24"/>
      <c r="F17" s="24"/>
      <c r="G17" s="24"/>
      <c r="H17" s="24"/>
    </row>
    <row r="18" spans="1:10" ht="34.15" customHeight="1" x14ac:dyDescent="0.35">
      <c r="A18" s="1" t="s">
        <v>75</v>
      </c>
      <c r="B18" s="31">
        <v>23000</v>
      </c>
      <c r="D18" s="24" t="s">
        <v>73</v>
      </c>
      <c r="E18" s="24"/>
      <c r="F18" s="24"/>
      <c r="G18" s="24"/>
      <c r="H18" s="24"/>
    </row>
    <row r="19" spans="1:10" ht="29.5" customHeight="1" x14ac:dyDescent="0.35">
      <c r="A19" s="1" t="s">
        <v>77</v>
      </c>
      <c r="B19" s="1">
        <f>B17*B18</f>
        <v>922300</v>
      </c>
      <c r="D19" s="24" t="s">
        <v>74</v>
      </c>
      <c r="E19" s="24"/>
      <c r="F19" s="24"/>
      <c r="G19" s="24"/>
      <c r="H19" s="24"/>
    </row>
    <row r="20" spans="1:10" ht="37.15" customHeight="1" x14ac:dyDescent="0.35">
      <c r="A20" s="29"/>
      <c r="B20" s="56" t="s">
        <v>67</v>
      </c>
      <c r="C20" s="57"/>
      <c r="D20" s="57"/>
      <c r="E20" s="57"/>
      <c r="F20" s="58"/>
      <c r="G20" s="59" t="s">
        <v>40</v>
      </c>
      <c r="H20" s="25" t="s">
        <v>71</v>
      </c>
      <c r="I20" s="26"/>
      <c r="J20" s="64" t="s">
        <v>82</v>
      </c>
    </row>
    <row r="21" spans="1:10" ht="46.15" customHeight="1" x14ac:dyDescent="0.35">
      <c r="A21" s="30"/>
      <c r="B21" s="60" t="s">
        <v>69</v>
      </c>
      <c r="C21" s="60" t="s">
        <v>83</v>
      </c>
      <c r="D21" s="60" t="s">
        <v>70</v>
      </c>
      <c r="E21" s="61" t="s">
        <v>68</v>
      </c>
      <c r="F21" s="62"/>
      <c r="G21" s="63"/>
      <c r="H21" s="27"/>
      <c r="I21" s="28"/>
      <c r="J21" s="65"/>
    </row>
    <row r="22" spans="1:10" ht="51" customHeight="1" x14ac:dyDescent="0.35">
      <c r="A22" s="1"/>
      <c r="B22" s="1" t="s">
        <v>41</v>
      </c>
      <c r="C22" s="1" t="s">
        <v>40</v>
      </c>
      <c r="D22" s="1" t="s">
        <v>40</v>
      </c>
      <c r="E22" s="11" t="s">
        <v>40</v>
      </c>
      <c r="F22" s="1" t="s">
        <v>39</v>
      </c>
      <c r="G22" s="19" t="s">
        <v>38</v>
      </c>
      <c r="H22" s="11" t="s">
        <v>78</v>
      </c>
      <c r="I22" s="11" t="s">
        <v>80</v>
      </c>
      <c r="J22" s="11" t="s">
        <v>80</v>
      </c>
    </row>
    <row r="23" spans="1:10" ht="16.149999999999999" customHeight="1" x14ac:dyDescent="0.35">
      <c r="A23" s="19" t="s">
        <v>37</v>
      </c>
      <c r="B23" s="1">
        <v>137</v>
      </c>
      <c r="C23" s="52">
        <f>B23*C9*0.25</f>
        <v>40.072499999999998</v>
      </c>
      <c r="D23" s="52">
        <v>40</v>
      </c>
      <c r="E23" s="1">
        <v>35.4</v>
      </c>
      <c r="F23" s="1"/>
      <c r="G23" s="1"/>
      <c r="H23" s="2">
        <f>C23*$C$5/1000</f>
        <v>10.018125</v>
      </c>
      <c r="I23" s="2">
        <f>C23*B19/1000/1000</f>
        <v>36.958866749999999</v>
      </c>
      <c r="J23" s="33">
        <f>I23</f>
        <v>36.958866749999999</v>
      </c>
    </row>
    <row r="24" spans="1:10" x14ac:dyDescent="0.35">
      <c r="A24" s="1" t="s">
        <v>36</v>
      </c>
      <c r="B24" s="12">
        <f>F24*B23</f>
        <v>97.525423728813564</v>
      </c>
      <c r="C24" s="52"/>
      <c r="D24" s="52">
        <v>6</v>
      </c>
      <c r="E24" s="1">
        <v>25.2</v>
      </c>
      <c r="F24" s="22">
        <f>E24/E23</f>
        <v>0.71186440677966101</v>
      </c>
      <c r="G24" s="19"/>
      <c r="H24" s="32">
        <f>F24*H23</f>
        <v>7.1315466101694911</v>
      </c>
      <c r="I24" s="23">
        <f>I23*F24</f>
        <v>26.309701754237288</v>
      </c>
      <c r="J24" s="33">
        <f t="shared" ref="J24:J47" si="0">I24</f>
        <v>26.309701754237288</v>
      </c>
    </row>
    <row r="25" spans="1:10" x14ac:dyDescent="0.35">
      <c r="A25" s="1" t="s">
        <v>35</v>
      </c>
      <c r="B25" s="12">
        <f>F25*B23</f>
        <v>74.692090395480236</v>
      </c>
      <c r="C25" s="52"/>
      <c r="D25" s="52">
        <v>6</v>
      </c>
      <c r="E25" s="1">
        <v>19.3</v>
      </c>
      <c r="F25" s="22">
        <f>E25/E23</f>
        <v>0.54519774011299438</v>
      </c>
      <c r="G25" s="19"/>
      <c r="H25" s="32">
        <f>F25*H23</f>
        <v>5.4618591101694918</v>
      </c>
      <c r="I25" s="23">
        <f>I23*F25</f>
        <v>20.149890629237287</v>
      </c>
      <c r="J25" s="33">
        <f t="shared" si="0"/>
        <v>20.149890629237287</v>
      </c>
    </row>
    <row r="26" spans="1:10" x14ac:dyDescent="0.35">
      <c r="A26" s="1" t="s">
        <v>34</v>
      </c>
      <c r="B26" s="1">
        <v>1275</v>
      </c>
      <c r="C26" s="53">
        <v>388</v>
      </c>
      <c r="D26" s="52" t="s">
        <v>33</v>
      </c>
      <c r="E26" s="1">
        <v>495</v>
      </c>
      <c r="F26" s="1"/>
      <c r="G26" s="19">
        <v>351</v>
      </c>
      <c r="H26" s="2">
        <f>C26*$C$5/1000</f>
        <v>97</v>
      </c>
      <c r="I26" s="19">
        <f>0.02*B18*B16</f>
        <v>322</v>
      </c>
      <c r="J26" s="33">
        <f t="shared" si="0"/>
        <v>322</v>
      </c>
    </row>
    <row r="27" spans="1:10" x14ac:dyDescent="0.35">
      <c r="A27" s="1" t="s">
        <v>32</v>
      </c>
      <c r="B27" s="1">
        <v>500</v>
      </c>
      <c r="C27" s="52">
        <v>158</v>
      </c>
      <c r="D27" s="52">
        <v>111</v>
      </c>
      <c r="E27" s="1">
        <v>143</v>
      </c>
      <c r="F27" s="1"/>
      <c r="G27" s="1"/>
      <c r="H27" s="2">
        <f>C27*$C$5/1000</f>
        <v>39.5</v>
      </c>
      <c r="I27" s="2">
        <f>C27*$B$19/1000/1000</f>
        <v>145.7234</v>
      </c>
      <c r="J27" s="33">
        <f t="shared" si="0"/>
        <v>145.7234</v>
      </c>
    </row>
    <row r="28" spans="1:10" x14ac:dyDescent="0.35">
      <c r="A28" s="1" t="s">
        <v>31</v>
      </c>
      <c r="B28" s="1">
        <v>100</v>
      </c>
      <c r="C28" s="54">
        <v>29.25</v>
      </c>
      <c r="D28" s="52">
        <v>42</v>
      </c>
      <c r="E28" s="1">
        <v>15.1</v>
      </c>
      <c r="F28" s="1"/>
      <c r="G28" s="1"/>
      <c r="H28" s="2">
        <f>C28*$C$5/1000</f>
        <v>7.3125</v>
      </c>
      <c r="I28" s="2">
        <f>C28*$B$19/1000/1000</f>
        <v>26.977275000000002</v>
      </c>
      <c r="J28" s="33">
        <f t="shared" si="0"/>
        <v>26.977275000000002</v>
      </c>
    </row>
    <row r="29" spans="1:10" x14ac:dyDescent="0.35">
      <c r="A29" s="1" t="s">
        <v>30</v>
      </c>
      <c r="B29" s="1"/>
      <c r="C29" s="52"/>
      <c r="D29" s="52">
        <v>5</v>
      </c>
      <c r="E29" s="1">
        <v>2.2999999999999998</v>
      </c>
      <c r="F29" s="1"/>
      <c r="G29" s="1"/>
      <c r="H29" s="2">
        <f>D29*$C$5/1000</f>
        <v>1.25</v>
      </c>
      <c r="I29" s="2">
        <f>D29*$B$19/1000/1000</f>
        <v>4.6115000000000004</v>
      </c>
      <c r="J29" s="33">
        <f>I29+'Laadimine (põlevkiviõli) 107 §4'!D10</f>
        <v>4.6601871500035923</v>
      </c>
    </row>
    <row r="30" spans="1:10" x14ac:dyDescent="0.35">
      <c r="A30" s="1" t="s">
        <v>103</v>
      </c>
      <c r="B30" s="1"/>
      <c r="C30" s="52">
        <v>4.9000000000000004</v>
      </c>
      <c r="D30" s="52"/>
      <c r="E30" s="1"/>
      <c r="F30" s="1"/>
      <c r="G30" s="1"/>
      <c r="H30" s="2">
        <f>C30*$C$5/1000</f>
        <v>1.2250000000000001</v>
      </c>
      <c r="I30" s="2">
        <f>C30*$B$19/1000/1000</f>
        <v>4.5192700000000006</v>
      </c>
      <c r="J30" s="33">
        <f>I30+'Laadimine (põlevkiviõli) 107 §4'!D11</f>
        <v>4.5192700000000006</v>
      </c>
    </row>
    <row r="31" spans="1:10" x14ac:dyDescent="0.35">
      <c r="A31" s="1" t="s">
        <v>104</v>
      </c>
      <c r="B31" s="1"/>
      <c r="C31" s="52">
        <v>0.2</v>
      </c>
      <c r="D31" s="52"/>
      <c r="E31" s="1"/>
      <c r="F31" s="1"/>
      <c r="G31" s="1"/>
      <c r="H31" s="2">
        <f>C31*$C$5/1000</f>
        <v>0.05</v>
      </c>
      <c r="I31" s="2">
        <f>C31*$B$19/1000/1000</f>
        <v>0.18446000000000001</v>
      </c>
      <c r="J31" s="33">
        <f>I31+'Laadimine (põlevkiviõli) 107 §4'!D12</f>
        <v>0.18446000000000001</v>
      </c>
    </row>
    <row r="32" spans="1:10" x14ac:dyDescent="0.35">
      <c r="A32" s="1"/>
      <c r="B32" s="1"/>
      <c r="C32" s="1"/>
      <c r="D32" s="31" t="s">
        <v>29</v>
      </c>
      <c r="E32" s="31"/>
      <c r="F32" s="31" t="s">
        <v>28</v>
      </c>
      <c r="G32" s="31"/>
      <c r="H32" s="55" t="s">
        <v>79</v>
      </c>
      <c r="I32" s="55" t="s">
        <v>0</v>
      </c>
      <c r="J32" s="55" t="s">
        <v>0</v>
      </c>
    </row>
    <row r="33" spans="1:10" x14ac:dyDescent="0.35">
      <c r="A33" s="1" t="s">
        <v>27</v>
      </c>
      <c r="B33" s="1"/>
      <c r="C33" s="1"/>
      <c r="D33" s="10">
        <v>10</v>
      </c>
      <c r="E33" s="1">
        <v>4.5599999999999996</v>
      </c>
      <c r="F33" s="1">
        <v>4.07</v>
      </c>
      <c r="G33" s="1"/>
      <c r="H33" s="14">
        <f t="shared" ref="H33:H39" si="1">D33*$C$5/1000/1000</f>
        <v>2.5000000000000001E-3</v>
      </c>
      <c r="I33" s="2">
        <f t="shared" ref="I33:I39" si="2">D33*$B$19/1000/1000</f>
        <v>9.2230000000000008</v>
      </c>
      <c r="J33" s="33">
        <f t="shared" si="0"/>
        <v>9.2230000000000008</v>
      </c>
    </row>
    <row r="34" spans="1:10" x14ac:dyDescent="0.35">
      <c r="A34" s="1" t="s">
        <v>26</v>
      </c>
      <c r="B34" s="1"/>
      <c r="C34" s="1"/>
      <c r="D34" s="10">
        <v>0.3</v>
      </c>
      <c r="E34" s="1">
        <v>1.2</v>
      </c>
      <c r="F34" s="1">
        <v>1.36</v>
      </c>
      <c r="G34" s="1"/>
      <c r="H34" s="14">
        <f t="shared" si="1"/>
        <v>7.4999999999999993E-5</v>
      </c>
      <c r="I34" s="2">
        <f t="shared" si="2"/>
        <v>0.27668999999999999</v>
      </c>
      <c r="J34" s="33">
        <f t="shared" si="0"/>
        <v>0.27668999999999999</v>
      </c>
    </row>
    <row r="35" spans="1:10" x14ac:dyDescent="0.35">
      <c r="A35" s="1" t="s">
        <v>25</v>
      </c>
      <c r="B35" s="1"/>
      <c r="C35" s="1"/>
      <c r="D35" s="10">
        <v>0.1</v>
      </c>
      <c r="E35" s="1">
        <v>0.34100000000000003</v>
      </c>
      <c r="F35" s="1">
        <v>1.36</v>
      </c>
      <c r="G35" s="1"/>
      <c r="H35" s="15">
        <f t="shared" si="1"/>
        <v>2.5000000000000001E-5</v>
      </c>
      <c r="I35" s="2">
        <f t="shared" si="2"/>
        <v>9.2230000000000006E-2</v>
      </c>
      <c r="J35" s="33">
        <f t="shared" si="0"/>
        <v>9.2230000000000006E-2</v>
      </c>
    </row>
    <row r="36" spans="1:10" x14ac:dyDescent="0.35">
      <c r="A36" s="1" t="s">
        <v>24</v>
      </c>
      <c r="B36" s="1"/>
      <c r="C36" s="1"/>
      <c r="D36" s="10">
        <v>44.5</v>
      </c>
      <c r="E36" s="1">
        <v>3.98</v>
      </c>
      <c r="F36" s="1">
        <v>1.81</v>
      </c>
      <c r="G36" s="1"/>
      <c r="H36" s="14">
        <f t="shared" si="1"/>
        <v>1.1124999999999999E-2</v>
      </c>
      <c r="I36" s="2">
        <f t="shared" si="2"/>
        <v>41.042349999999999</v>
      </c>
      <c r="J36" s="33">
        <f t="shared" si="0"/>
        <v>41.042349999999999</v>
      </c>
    </row>
    <row r="37" spans="1:10" x14ac:dyDescent="0.35">
      <c r="A37" s="1" t="s">
        <v>23</v>
      </c>
      <c r="B37" s="1"/>
      <c r="C37" s="1"/>
      <c r="D37" s="10">
        <v>20</v>
      </c>
      <c r="E37" s="1">
        <v>2.5499999999999998</v>
      </c>
      <c r="F37" s="1">
        <v>1.36</v>
      </c>
      <c r="G37" s="1"/>
      <c r="H37" s="14">
        <f t="shared" si="1"/>
        <v>5.0000000000000001E-3</v>
      </c>
      <c r="I37" s="2">
        <f t="shared" si="2"/>
        <v>18.446000000000002</v>
      </c>
      <c r="J37" s="33">
        <f t="shared" si="0"/>
        <v>18.446000000000002</v>
      </c>
    </row>
    <row r="38" spans="1:10" x14ac:dyDescent="0.35">
      <c r="A38" s="1" t="s">
        <v>22</v>
      </c>
      <c r="B38" s="1"/>
      <c r="C38" s="1"/>
      <c r="D38" s="10">
        <v>6</v>
      </c>
      <c r="E38" s="1">
        <v>5.31</v>
      </c>
      <c r="F38" s="1">
        <v>2.72</v>
      </c>
      <c r="G38" s="1"/>
      <c r="H38" s="14">
        <f t="shared" si="1"/>
        <v>1.5E-3</v>
      </c>
      <c r="I38" s="2">
        <f t="shared" si="2"/>
        <v>5.5338000000000003</v>
      </c>
      <c r="J38" s="33">
        <f t="shared" si="0"/>
        <v>5.5338000000000003</v>
      </c>
    </row>
    <row r="39" spans="1:10" x14ac:dyDescent="0.35">
      <c r="A39" s="1" t="s">
        <v>21</v>
      </c>
      <c r="B39" s="1"/>
      <c r="C39" s="1"/>
      <c r="D39" s="10">
        <v>200</v>
      </c>
      <c r="E39" s="1">
        <v>255</v>
      </c>
      <c r="F39" s="1">
        <v>1.36</v>
      </c>
      <c r="G39" s="1"/>
      <c r="H39" s="14">
        <f t="shared" si="1"/>
        <v>0.05</v>
      </c>
      <c r="I39" s="2">
        <f t="shared" si="2"/>
        <v>184.46</v>
      </c>
      <c r="J39" s="33">
        <f t="shared" si="0"/>
        <v>184.46</v>
      </c>
    </row>
    <row r="40" spans="1:10" x14ac:dyDescent="0.35">
      <c r="A40" s="1" t="s">
        <v>20</v>
      </c>
      <c r="B40" s="1"/>
      <c r="C40" s="1"/>
      <c r="D40" s="10"/>
      <c r="E40" s="10">
        <v>2.06</v>
      </c>
      <c r="F40" s="1">
        <v>6.79</v>
      </c>
      <c r="G40" s="1"/>
      <c r="H40" s="14">
        <f>E40*$C$5/1000/1000</f>
        <v>5.1500000000000005E-4</v>
      </c>
      <c r="I40" s="2">
        <f>E40*$B$19/1000/1000</f>
        <v>1.8999380000000001</v>
      </c>
      <c r="J40" s="33">
        <f t="shared" si="0"/>
        <v>1.8999380000000001</v>
      </c>
    </row>
    <row r="41" spans="1:10" x14ac:dyDescent="0.35">
      <c r="A41" s="1" t="s">
        <v>19</v>
      </c>
      <c r="B41" s="1"/>
      <c r="C41" s="1"/>
      <c r="D41" s="10">
        <v>5</v>
      </c>
      <c r="E41" s="1">
        <v>87.8</v>
      </c>
      <c r="F41" s="1">
        <v>1.81</v>
      </c>
      <c r="G41" s="1"/>
      <c r="H41" s="14">
        <f>D41*$C$5/1000/1000</f>
        <v>1.25E-3</v>
      </c>
      <c r="I41" s="2">
        <f>D41*$B$19/1000/1000</f>
        <v>4.6115000000000004</v>
      </c>
      <c r="J41" s="33">
        <f t="shared" si="0"/>
        <v>4.6115000000000004</v>
      </c>
    </row>
    <row r="42" spans="1:10" x14ac:dyDescent="0.35">
      <c r="A42" s="1"/>
      <c r="B42" s="1"/>
      <c r="C42" s="1"/>
      <c r="D42" s="16" t="s">
        <v>18</v>
      </c>
      <c r="E42" s="1"/>
      <c r="F42" s="1"/>
      <c r="G42" s="1"/>
      <c r="H42" s="1"/>
      <c r="I42" s="1" t="s">
        <v>0</v>
      </c>
      <c r="J42" s="33"/>
    </row>
    <row r="43" spans="1:10" x14ac:dyDescent="0.35">
      <c r="A43" s="5" t="s">
        <v>17</v>
      </c>
      <c r="B43" s="1"/>
      <c r="C43" s="1"/>
      <c r="D43" s="10">
        <v>0.01</v>
      </c>
      <c r="E43" s="1">
        <v>2.5000000000000001E-3</v>
      </c>
      <c r="F43" s="1">
        <v>5.0000000000000001E-4</v>
      </c>
      <c r="G43" s="1"/>
      <c r="H43" s="17">
        <f>D43*$C$5/1000/1000/1000</f>
        <v>2.5000000000000001E-9</v>
      </c>
      <c r="I43" s="18">
        <f>D43*$B$19/1000</f>
        <v>9.2230000000000008</v>
      </c>
      <c r="J43" s="33">
        <f t="shared" si="0"/>
        <v>9.2230000000000008</v>
      </c>
    </row>
    <row r="44" spans="1:10" x14ac:dyDescent="0.35">
      <c r="A44" s="5" t="s">
        <v>16</v>
      </c>
      <c r="B44" s="1"/>
      <c r="C44" s="1"/>
      <c r="D44" s="10">
        <v>1</v>
      </c>
      <c r="E44" s="1"/>
      <c r="F44" s="1"/>
      <c r="G44" s="1"/>
      <c r="H44" s="17">
        <f>D44*$C$5/1000/1000/1000</f>
        <v>2.4999999999999999E-7</v>
      </c>
      <c r="I44" s="15">
        <f>D44*$B$19/1000/1000/1000</f>
        <v>9.2230000000000003E-4</v>
      </c>
      <c r="J44" s="33">
        <f t="shared" si="0"/>
        <v>9.2230000000000003E-4</v>
      </c>
    </row>
    <row r="45" spans="1:10" x14ac:dyDescent="0.35">
      <c r="A45" s="5" t="s">
        <v>15</v>
      </c>
      <c r="B45" s="1"/>
      <c r="C45" s="1"/>
      <c r="D45" s="10">
        <v>1</v>
      </c>
      <c r="E45" s="1">
        <v>4.5</v>
      </c>
      <c r="F45" s="1"/>
      <c r="G45" s="1"/>
      <c r="H45" s="17">
        <f>D45*$C$5/1000/1000/1000</f>
        <v>2.4999999999999999E-7</v>
      </c>
      <c r="I45" s="15">
        <f>D45*$B$19/1000/1000/1000</f>
        <v>9.2230000000000003E-4</v>
      </c>
      <c r="J45" s="33">
        <f t="shared" si="0"/>
        <v>9.2230000000000003E-4</v>
      </c>
    </row>
    <row r="46" spans="1:10" x14ac:dyDescent="0.35">
      <c r="A46" s="5" t="s">
        <v>14</v>
      </c>
      <c r="B46" s="1"/>
      <c r="C46" s="1"/>
      <c r="D46" s="10">
        <v>1</v>
      </c>
      <c r="E46" s="1">
        <v>4.5</v>
      </c>
      <c r="F46" s="1"/>
      <c r="G46" s="1"/>
      <c r="H46" s="17">
        <f>D46*$C$5/1000/1000/1000</f>
        <v>2.4999999999999999E-7</v>
      </c>
      <c r="I46" s="15">
        <f>D46*$B$19/1000/1000/1000</f>
        <v>9.2230000000000003E-4</v>
      </c>
      <c r="J46" s="33">
        <f t="shared" si="0"/>
        <v>9.2230000000000003E-4</v>
      </c>
    </row>
    <row r="47" spans="1:10" x14ac:dyDescent="0.35">
      <c r="A47" s="5" t="s">
        <v>13</v>
      </c>
      <c r="B47" s="1"/>
      <c r="C47" s="1"/>
      <c r="D47" s="10">
        <v>1</v>
      </c>
      <c r="E47" s="1">
        <v>6.92</v>
      </c>
      <c r="F47" s="1">
        <v>6.92</v>
      </c>
      <c r="G47" s="1"/>
      <c r="H47" s="17">
        <f>D47*$C$5/1000/1000/1000</f>
        <v>2.4999999999999999E-7</v>
      </c>
      <c r="I47" s="15">
        <f>D47*$B$19/1000/1000/1000</f>
        <v>9.2230000000000003E-4</v>
      </c>
      <c r="J47" s="33">
        <f t="shared" si="0"/>
        <v>9.2230000000000003E-4</v>
      </c>
    </row>
    <row r="48" spans="1:10" x14ac:dyDescent="0.35">
      <c r="A48" s="1"/>
      <c r="B48" s="1"/>
      <c r="C48" s="1"/>
      <c r="D48" s="10"/>
      <c r="E48" s="1"/>
      <c r="F48" s="1"/>
      <c r="G48" s="1"/>
      <c r="H48" s="17"/>
      <c r="I48" s="15"/>
      <c r="J48" s="1"/>
    </row>
    <row r="49" spans="1:10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5">
      <c r="A50" s="1" t="s">
        <v>12</v>
      </c>
      <c r="B50" s="1"/>
      <c r="C50" s="1"/>
      <c r="D50" s="1"/>
      <c r="E50" s="1"/>
      <c r="F50" s="1"/>
      <c r="G50" s="1">
        <v>21.1</v>
      </c>
      <c r="H50" s="1" t="s">
        <v>11</v>
      </c>
      <c r="I50" s="13">
        <f>G50*B19/1000*3.664</f>
        <v>71303.38192</v>
      </c>
      <c r="J50" s="1"/>
    </row>
    <row r="51" spans="1:10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</row>
  </sheetData>
  <mergeCells count="9">
    <mergeCell ref="D19:H19"/>
    <mergeCell ref="J20:J21"/>
    <mergeCell ref="A20:A21"/>
    <mergeCell ref="H20:I21"/>
    <mergeCell ref="D16:H16"/>
    <mergeCell ref="D17:H17"/>
    <mergeCell ref="D18:H18"/>
    <mergeCell ref="B20:F20"/>
    <mergeCell ref="G20:G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0FD97-2729-41E6-ACB5-0DE364E3C2D7}">
  <dimension ref="B1:N24"/>
  <sheetViews>
    <sheetView workbookViewId="0">
      <selection activeCell="K11" sqref="K11"/>
    </sheetView>
  </sheetViews>
  <sheetFormatPr defaultRowHeight="14.5" x14ac:dyDescent="0.35"/>
  <cols>
    <col min="1" max="2" width="8.7265625" style="34"/>
    <col min="3" max="3" width="11.08984375" style="34" customWidth="1"/>
    <col min="4" max="4" width="11.453125" style="34" customWidth="1"/>
    <col min="5" max="5" width="11.08984375" style="34" customWidth="1"/>
    <col min="6" max="6" width="8.7265625" style="34"/>
    <col min="7" max="7" width="12" style="34" customWidth="1"/>
    <col min="8" max="8" width="8.7265625" style="34"/>
    <col min="9" max="9" width="17.54296875" style="34" customWidth="1"/>
    <col min="10" max="13" width="8.7265625" style="34"/>
    <col min="14" max="14" width="19" style="34" customWidth="1"/>
    <col min="15" max="16384" width="8.7265625" style="34"/>
  </cols>
  <sheetData>
    <row r="1" spans="2:14" x14ac:dyDescent="0.35">
      <c r="B1" s="51" t="s">
        <v>4</v>
      </c>
    </row>
    <row r="2" spans="2:14" x14ac:dyDescent="0.35">
      <c r="B2" s="46"/>
      <c r="C2" s="46"/>
      <c r="D2" s="46"/>
      <c r="E2" s="46"/>
      <c r="G2" s="46"/>
      <c r="H2" s="46" t="s">
        <v>5</v>
      </c>
      <c r="I2" s="46"/>
      <c r="J2" s="46"/>
      <c r="K2" s="46"/>
    </row>
    <row r="3" spans="2:14" x14ac:dyDescent="0.35">
      <c r="B3" s="46"/>
      <c r="C3" s="50" t="s">
        <v>102</v>
      </c>
      <c r="D3" s="46"/>
      <c r="E3" s="46"/>
      <c r="G3" s="46"/>
      <c r="H3" s="48" t="s">
        <v>101</v>
      </c>
      <c r="I3" s="49">
        <v>280</v>
      </c>
      <c r="J3" s="46" t="s">
        <v>100</v>
      </c>
      <c r="K3" s="46"/>
    </row>
    <row r="4" spans="2:14" x14ac:dyDescent="0.35">
      <c r="B4" s="46"/>
      <c r="C4" s="46"/>
      <c r="D4" s="46"/>
      <c r="E4" s="46"/>
      <c r="G4" s="46"/>
      <c r="H4" s="48" t="s">
        <v>99</v>
      </c>
      <c r="I4" s="49">
        <v>2.1999999999999999E-2</v>
      </c>
      <c r="J4" s="46" t="s">
        <v>98</v>
      </c>
      <c r="K4" s="46"/>
      <c r="L4" s="51" t="s">
        <v>97</v>
      </c>
    </row>
    <row r="5" spans="2:14" x14ac:dyDescent="0.35">
      <c r="B5" s="46"/>
      <c r="C5" s="50" t="s">
        <v>96</v>
      </c>
      <c r="D5" s="46"/>
      <c r="E5" s="46"/>
      <c r="G5" s="46"/>
      <c r="H5" s="48" t="s">
        <v>95</v>
      </c>
      <c r="I5" s="49">
        <f>70+273.15</f>
        <v>343.15</v>
      </c>
      <c r="J5" s="46" t="s">
        <v>8</v>
      </c>
      <c r="K5" s="46"/>
    </row>
    <row r="6" spans="2:14" x14ac:dyDescent="0.35">
      <c r="B6" s="46"/>
      <c r="C6" s="46"/>
      <c r="D6" s="46"/>
      <c r="E6" s="46"/>
      <c r="G6" s="46"/>
      <c r="H6" s="48" t="s">
        <v>94</v>
      </c>
      <c r="I6" s="47">
        <f>H9/H10</f>
        <v>22549.019607843136</v>
      </c>
      <c r="J6" s="46" t="s">
        <v>7</v>
      </c>
      <c r="K6" s="46"/>
    </row>
    <row r="7" spans="2:14" x14ac:dyDescent="0.35">
      <c r="G7" s="46"/>
      <c r="H7" s="46"/>
      <c r="I7" s="46"/>
      <c r="J7" s="46"/>
      <c r="K7" s="46"/>
    </row>
    <row r="8" spans="2:14" x14ac:dyDescent="0.35">
      <c r="B8" s="35"/>
      <c r="C8" s="39" t="s">
        <v>4</v>
      </c>
      <c r="D8" s="35"/>
      <c r="E8" s="35"/>
      <c r="F8" s="35"/>
    </row>
    <row r="9" spans="2:14" x14ac:dyDescent="0.35">
      <c r="B9" s="35"/>
      <c r="C9" s="38" t="s">
        <v>93</v>
      </c>
      <c r="D9" s="38" t="s">
        <v>92</v>
      </c>
      <c r="E9" s="38" t="s">
        <v>91</v>
      </c>
      <c r="F9" s="35"/>
      <c r="H9" s="45">
        <v>23000</v>
      </c>
      <c r="I9" s="42" t="s">
        <v>90</v>
      </c>
    </row>
    <row r="10" spans="2:14" x14ac:dyDescent="0.35">
      <c r="B10" s="35"/>
      <c r="C10" s="44">
        <f>I3*I4/(I5*8.314)</f>
        <v>2.1591692610288772E-3</v>
      </c>
      <c r="D10" s="37">
        <f>I6*C10*1/1000</f>
        <v>4.8687150003592326E-2</v>
      </c>
      <c r="E10" s="36">
        <f>D10*1000000/(3600*H11)</f>
        <v>7.1972308700962564E-2</v>
      </c>
      <c r="F10" s="35"/>
      <c r="H10" s="34">
        <v>1.02</v>
      </c>
      <c r="I10" s="42" t="s">
        <v>89</v>
      </c>
    </row>
    <row r="11" spans="2:14" x14ac:dyDescent="0.35">
      <c r="B11" s="35"/>
      <c r="C11" s="35"/>
      <c r="D11" s="35"/>
      <c r="E11" s="35"/>
      <c r="F11" s="35"/>
      <c r="H11" s="43">
        <f>I6/120</f>
        <v>187.90849673202612</v>
      </c>
      <c r="I11" s="42" t="s">
        <v>88</v>
      </c>
    </row>
    <row r="12" spans="2:14" x14ac:dyDescent="0.35">
      <c r="H12" s="34">
        <v>120</v>
      </c>
      <c r="I12" s="42" t="s">
        <v>87</v>
      </c>
    </row>
    <row r="13" spans="2:14" x14ac:dyDescent="0.35">
      <c r="D13" s="41"/>
      <c r="N13" s="40"/>
    </row>
    <row r="19" spans="2:5" x14ac:dyDescent="0.35">
      <c r="B19" s="35"/>
      <c r="C19" s="39" t="s">
        <v>86</v>
      </c>
      <c r="D19" s="35"/>
      <c r="E19" s="35"/>
    </row>
    <row r="20" spans="2:5" x14ac:dyDescent="0.35">
      <c r="B20" s="35"/>
      <c r="C20" s="38" t="s">
        <v>2</v>
      </c>
      <c r="D20" s="38" t="s">
        <v>1</v>
      </c>
      <c r="E20" s="35"/>
    </row>
    <row r="21" spans="2:5" x14ac:dyDescent="0.35">
      <c r="B21" s="35"/>
      <c r="C21" s="37">
        <f>(D10)*D23</f>
        <v>1.4606145001077697E-3</v>
      </c>
      <c r="D21" s="36">
        <f>C21*1000000/(3600*H11)</f>
        <v>2.1591692610288772E-3</v>
      </c>
      <c r="E21" s="35"/>
    </row>
    <row r="22" spans="2:5" x14ac:dyDescent="0.35">
      <c r="B22" s="35"/>
      <c r="C22" s="35"/>
      <c r="D22" s="35"/>
      <c r="E22" s="35"/>
    </row>
    <row r="23" spans="2:5" x14ac:dyDescent="0.35">
      <c r="B23" s="35"/>
      <c r="C23" s="35" t="s">
        <v>85</v>
      </c>
      <c r="D23" s="35">
        <v>0.03</v>
      </c>
      <c r="E23" s="35"/>
    </row>
    <row r="24" spans="2:5" x14ac:dyDescent="0.35">
      <c r="B24" s="34" t="s">
        <v>84</v>
      </c>
    </row>
  </sheetData>
  <pageMargins left="0.7" right="0.7" top="0.75" bottom="0.75" header="0.3" footer="0.3"/>
  <pageSetup paperSize="9" orientation="portrait" horizontalDpi="300" verticalDpi="300" r:id="rId1"/>
</worksheet>
</file>

<file path=docMetadata/LabelInfo.xml><?xml version="1.0" encoding="utf-8"?>
<clbl:labelList xmlns:clbl="http://schemas.microsoft.com/office/2020/mipLabelMetadata">
  <clbl:label id="{15cd778b-2b28-4ebc-956c-b5977a36cd28}" enabled="0" method="" siteId="{15cd778b-2b28-4ebc-956c-b5977a36cd2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PRK</vt:lpstr>
      <vt:lpstr>Laadimine (põlevkiviõli) 107 §4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Enkeli</dc:creator>
  <cp:lastModifiedBy>Diana Enkeli</cp:lastModifiedBy>
  <dcterms:created xsi:type="dcterms:W3CDTF">2022-07-08T09:07:41Z</dcterms:created>
  <dcterms:modified xsi:type="dcterms:W3CDTF">2026-09-08T12:50:48Z</dcterms:modified>
</cp:coreProperties>
</file>